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0" windowWidth="7635" windowHeight="8775" firstSheet="3" activeTab="5"/>
  </bookViews>
  <sheets>
    <sheet name="General 17-18" sheetId="4" state="hidden" r:id="rId1"/>
    <sheet name="Restaurant 17-18" sheetId="1" state="hidden" r:id="rId2"/>
    <sheet name="General 18-19" sheetId="6" state="hidden" r:id="rId3"/>
    <sheet name="General 19-20" sheetId="7" r:id="rId4"/>
    <sheet name="Notes General" sheetId="8" state="hidden" r:id="rId5"/>
    <sheet name="Restaurant 18-19" sheetId="5" r:id="rId6"/>
    <sheet name="Notes Rest" sheetId="2" state="hidden" r:id="rId7"/>
  </sheets>
  <calcPr calcId="145621"/>
</workbook>
</file>

<file path=xl/calcChain.xml><?xml version="1.0" encoding="utf-8"?>
<calcChain xmlns="http://schemas.openxmlformats.org/spreadsheetml/2006/main">
  <c r="E4" i="5" l="1"/>
  <c r="B2" i="2" s="1"/>
  <c r="B4" i="2" s="1"/>
  <c r="B5" i="8"/>
  <c r="B2" i="8"/>
  <c r="B4" i="8" s="1"/>
  <c r="B6" i="8" s="1"/>
  <c r="D15" i="7"/>
  <c r="B5" i="2"/>
  <c r="D16" i="7"/>
  <c r="E13" i="7"/>
  <c r="F16" i="7" s="1"/>
  <c r="E5" i="7"/>
  <c r="B4" i="7"/>
  <c r="B7" i="8" l="1"/>
  <c r="F15" i="7"/>
  <c r="G15" i="7" s="1"/>
  <c r="G16" i="7"/>
  <c r="E7" i="7"/>
  <c r="D16" i="6"/>
  <c r="B4" i="6"/>
  <c r="D15" i="6"/>
  <c r="E13" i="6"/>
  <c r="F16" i="6" s="1"/>
  <c r="G16" i="6" s="1"/>
  <c r="E5" i="6"/>
  <c r="D10" i="6" s="1"/>
  <c r="G17" i="7" l="1"/>
  <c r="E19" i="7" s="1"/>
  <c r="F9" i="7"/>
  <c r="G9" i="7" s="1"/>
  <c r="D11" i="6"/>
  <c r="E7" i="6"/>
  <c r="F15" i="6"/>
  <c r="G15" i="6" s="1"/>
  <c r="G17" i="6" s="1"/>
  <c r="E19" i="6" s="1"/>
  <c r="D18" i="5"/>
  <c r="D17" i="5"/>
  <c r="B4" i="5"/>
  <c r="E15" i="5"/>
  <c r="F16" i="5" s="1"/>
  <c r="E7" i="5"/>
  <c r="F15" i="5" l="1"/>
  <c r="G15" i="5" s="1"/>
  <c r="F11" i="6"/>
  <c r="G11" i="6" s="1"/>
  <c r="F10" i="6"/>
  <c r="G10" i="6" s="1"/>
  <c r="F9" i="6"/>
  <c r="G9" i="6" s="1"/>
  <c r="G16" i="5"/>
  <c r="G17" i="5" s="1"/>
  <c r="E21" i="5" s="1"/>
  <c r="E9" i="5"/>
  <c r="A16" i="4"/>
  <c r="A15" i="4"/>
  <c r="B13" i="4"/>
  <c r="C15" i="4" s="1"/>
  <c r="D15" i="4" s="1"/>
  <c r="B5" i="4"/>
  <c r="G12" i="6" l="1"/>
  <c r="E18" i="6" s="1"/>
  <c r="E20" i="6" s="1"/>
  <c r="E22" i="6" s="1"/>
  <c r="E23" i="6" s="1"/>
  <c r="F9" i="5"/>
  <c r="G9" i="5" s="1"/>
  <c r="A11" i="4"/>
  <c r="A10" i="4"/>
  <c r="C16" i="4"/>
  <c r="D16" i="4" s="1"/>
  <c r="D17" i="4" s="1"/>
  <c r="B19" i="4" s="1"/>
  <c r="B7" i="4"/>
  <c r="C13" i="1"/>
  <c r="C5" i="1"/>
  <c r="B16" i="1"/>
  <c r="B15" i="1"/>
  <c r="C9" i="4" l="1"/>
  <c r="D9" i="4" s="1"/>
  <c r="C10" i="4"/>
  <c r="D10" i="4" s="1"/>
  <c r="C11" i="4"/>
  <c r="D11" i="4" s="1"/>
  <c r="D15" i="1"/>
  <c r="E15" i="1" s="1"/>
  <c r="D16" i="1"/>
  <c r="E16" i="1" s="1"/>
  <c r="E17" i="1" l="1"/>
  <c r="C19" i="1" s="1"/>
  <c r="D12" i="4"/>
  <c r="B18" i="4" s="1"/>
  <c r="B20" i="4" s="1"/>
  <c r="B22" i="4" s="1"/>
  <c r="B23" i="4" s="1"/>
  <c r="B11" i="1"/>
  <c r="B10" i="1" s="1"/>
  <c r="B6" i="2"/>
  <c r="B7" i="2" s="1"/>
  <c r="C7" i="1"/>
  <c r="D11" i="7" l="1"/>
  <c r="D10" i="7" s="1"/>
  <c r="F11" i="7" s="1"/>
  <c r="G11" i="7" s="1"/>
  <c r="D13" i="5"/>
  <c r="D12" i="5" s="1"/>
  <c r="D11" i="1"/>
  <c r="E11" i="1" s="1"/>
  <c r="D10" i="1"/>
  <c r="E10" i="1" s="1"/>
  <c r="D9" i="1"/>
  <c r="E9" i="1" s="1"/>
  <c r="F10" i="7" l="1"/>
  <c r="G10" i="7" s="1"/>
  <c r="G12" i="7" s="1"/>
  <c r="E18" i="7" s="1"/>
  <c r="E20" i="7" s="1"/>
  <c r="E22" i="7" s="1"/>
  <c r="E23" i="7" s="1"/>
  <c r="F11" i="5"/>
  <c r="G11" i="5" s="1"/>
  <c r="F10" i="5"/>
  <c r="G10" i="5" s="1"/>
  <c r="E12" i="1"/>
  <c r="G12" i="5" l="1"/>
  <c r="E20" i="5" s="1"/>
  <c r="E22" i="5" s="1"/>
  <c r="E24" i="5" s="1"/>
  <c r="E25" i="5" s="1"/>
  <c r="C18" i="1"/>
  <c r="C20" i="1" s="1"/>
  <c r="C22" i="1" s="1"/>
  <c r="C23" i="1" s="1"/>
</calcChain>
</file>

<file path=xl/sharedStrings.xml><?xml version="1.0" encoding="utf-8"?>
<sst xmlns="http://schemas.openxmlformats.org/spreadsheetml/2006/main" count="149" uniqueCount="43">
  <si>
    <t>Tax</t>
  </si>
  <si>
    <t>Gross</t>
  </si>
  <si>
    <t>House</t>
  </si>
  <si>
    <t>Tronc</t>
  </si>
  <si>
    <t>Taxable Salary</t>
  </si>
  <si>
    <t>Personal Allowance</t>
  </si>
  <si>
    <t>Salary Calculator</t>
  </si>
  <si>
    <t>Net to Employee</t>
  </si>
  <si>
    <t>Monthly in Hand to Employee</t>
  </si>
  <si>
    <t>Rate</t>
  </si>
  <si>
    <t>Total Tax</t>
  </si>
  <si>
    <t>Tax Thersholds</t>
  </si>
  <si>
    <t>NIC Thersholds</t>
  </si>
  <si>
    <t>NIable Salary</t>
  </si>
  <si>
    <t>Total NI</t>
  </si>
  <si>
    <t>Total NIC</t>
  </si>
  <si>
    <t>Total deductions</t>
  </si>
  <si>
    <t>Personal Allowance reduction for salaries over £100k</t>
  </si>
  <si>
    <t>Taxable Pay</t>
  </si>
  <si>
    <t>Threshold</t>
  </si>
  <si>
    <t>Net</t>
  </si>
  <si>
    <t>B1</t>
  </si>
  <si>
    <t>B2</t>
  </si>
  <si>
    <t>B1 -B2</t>
  </si>
  <si>
    <t>B4</t>
  </si>
  <si>
    <t>B5</t>
  </si>
  <si>
    <t>B3</t>
  </si>
  <si>
    <t>Reduced Personal Allowance</t>
  </si>
  <si>
    <t>Pension</t>
  </si>
  <si>
    <t>Input</t>
  </si>
  <si>
    <t xml:space="preserve">Annual Salary </t>
  </si>
  <si>
    <t>Made by:</t>
  </si>
  <si>
    <t>NHA</t>
  </si>
  <si>
    <t>Tax Input</t>
  </si>
  <si>
    <t>Basic Rate Band</t>
  </si>
  <si>
    <t>Higher Rate Threshold</t>
  </si>
  <si>
    <t>Additional Rate Threshold</t>
  </si>
  <si>
    <t>NIC Input</t>
  </si>
  <si>
    <t>Prmiary Threshold</t>
  </si>
  <si>
    <t>Upper Secondary Threshold</t>
  </si>
  <si>
    <t>Primary Threshold</t>
  </si>
  <si>
    <t>Hours worked in a week</t>
  </si>
  <si>
    <t>Minimium Wage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</si>
</sst>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&quot;£&quot;#,##0"/>
    <numFmt numFmtId="166" formatCode="_-&quot;£&quot;* #,##0_-;\-&quot;£&quot;* #,##0_-;_-&quot;£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2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164" fontId="0" fillId="0" borderId="0" xfId="1" applyNumberFormat="1" applyFont="1" applyFill="1"/>
    <xf numFmtId="0" fontId="0" fillId="0" borderId="1" xfId="0" applyBorder="1"/>
    <xf numFmtId="164" fontId="0" fillId="0" borderId="1" xfId="1" applyNumberFormat="1" applyFont="1" applyBorder="1"/>
    <xf numFmtId="164" fontId="0" fillId="0" borderId="1" xfId="1" applyNumberFormat="1" applyFont="1" applyFill="1" applyBorder="1"/>
    <xf numFmtId="0" fontId="0" fillId="3" borderId="1" xfId="0" applyFill="1" applyBorder="1" applyAlignment="1">
      <alignment horizontal="center"/>
    </xf>
    <xf numFmtId="164" fontId="0" fillId="3" borderId="1" xfId="1" applyNumberFormat="1" applyFont="1" applyFill="1" applyBorder="1" applyAlignment="1">
      <alignment horizontal="center"/>
    </xf>
    <xf numFmtId="165" fontId="0" fillId="0" borderId="1" xfId="3" applyNumberFormat="1" applyFont="1" applyFill="1" applyBorder="1" applyAlignment="1">
      <alignment horizontal="center"/>
    </xf>
    <xf numFmtId="9" fontId="0" fillId="0" borderId="1" xfId="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1" xfId="1" applyNumberFormat="1" applyFont="1" applyFill="1" applyBorder="1" applyAlignment="1">
      <alignment horizontal="center"/>
    </xf>
    <xf numFmtId="44" fontId="0" fillId="0" borderId="1" xfId="2" applyFont="1" applyBorder="1" applyAlignment="1">
      <alignment horizontal="center"/>
    </xf>
    <xf numFmtId="165" fontId="3" fillId="0" borderId="0" xfId="3" applyNumberFormat="1" applyFont="1" applyFill="1" applyAlignment="1">
      <alignment horizontal="center"/>
    </xf>
    <xf numFmtId="9" fontId="3" fillId="0" borderId="0" xfId="3" applyFont="1" applyFill="1" applyAlignment="1">
      <alignment horizontal="center"/>
    </xf>
    <xf numFmtId="44" fontId="3" fillId="0" borderId="0" xfId="2" applyFont="1"/>
    <xf numFmtId="165" fontId="0" fillId="0" borderId="0" xfId="0" applyNumberFormat="1"/>
    <xf numFmtId="0" fontId="2" fillId="0" borderId="0" xfId="0" applyFont="1"/>
    <xf numFmtId="0" fontId="4" fillId="0" borderId="0" xfId="0" applyFont="1"/>
    <xf numFmtId="166" fontId="0" fillId="0" borderId="0" xfId="2" applyNumberFormat="1" applyFont="1"/>
    <xf numFmtId="166" fontId="0" fillId="0" borderId="0" xfId="0" applyNumberFormat="1"/>
    <xf numFmtId="166" fontId="0" fillId="0" borderId="1" xfId="2" applyNumberFormat="1" applyFont="1" applyBorder="1"/>
    <xf numFmtId="164" fontId="0" fillId="0" borderId="2" xfId="1" applyNumberFormat="1" applyFont="1" applyFill="1" applyBorder="1" applyAlignment="1">
      <alignment horizontal="center"/>
    </xf>
    <xf numFmtId="165" fontId="3" fillId="0" borderId="1" xfId="3" applyNumberFormat="1" applyFont="1" applyFill="1" applyBorder="1" applyAlignment="1">
      <alignment horizontal="center"/>
    </xf>
    <xf numFmtId="44" fontId="3" fillId="0" borderId="1" xfId="2" applyFont="1" applyBorder="1"/>
    <xf numFmtId="164" fontId="0" fillId="0" borderId="2" xfId="1" applyNumberFormat="1" applyFont="1" applyFill="1" applyBorder="1"/>
    <xf numFmtId="164" fontId="3" fillId="0" borderId="1" xfId="1" applyNumberFormat="1" applyFont="1" applyFill="1" applyBorder="1"/>
    <xf numFmtId="0" fontId="3" fillId="0" borderId="1" xfId="0" applyFont="1" applyBorder="1"/>
    <xf numFmtId="166" fontId="0" fillId="2" borderId="1" xfId="2" applyNumberFormat="1" applyFont="1" applyFill="1" applyBorder="1"/>
    <xf numFmtId="164" fontId="0" fillId="4" borderId="1" xfId="1" applyNumberFormat="1" applyFont="1" applyFill="1" applyBorder="1" applyProtection="1">
      <protection locked="0"/>
    </xf>
    <xf numFmtId="0" fontId="5" fillId="0" borderId="0" xfId="0" applyFont="1"/>
    <xf numFmtId="0" fontId="0" fillId="4" borderId="0" xfId="0" applyFill="1"/>
    <xf numFmtId="0" fontId="6" fillId="0" borderId="0" xfId="4"/>
    <xf numFmtId="164" fontId="0" fillId="0" borderId="1" xfId="1" applyNumberFormat="1" applyFont="1" applyFill="1" applyBorder="1" applyProtection="1"/>
    <xf numFmtId="166" fontId="0" fillId="4" borderId="0" xfId="2" applyNumberFormat="1" applyFont="1" applyFill="1"/>
    <xf numFmtId="164" fontId="3" fillId="0" borderId="1" xfId="1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66" fontId="0" fillId="3" borderId="0" xfId="2" applyNumberFormat="1" applyFont="1" applyFill="1"/>
    <xf numFmtId="164" fontId="0" fillId="4" borderId="1" xfId="1" applyNumberFormat="1" applyFont="1" applyFill="1" applyBorder="1" applyAlignment="1">
      <alignment horizontal="center"/>
    </xf>
    <xf numFmtId="43" fontId="0" fillId="3" borderId="1" xfId="1" applyFont="1" applyFill="1" applyBorder="1" applyAlignment="1">
      <alignment horizontal="center"/>
    </xf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ottinghillaccountants.wordpress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nottinghillaccountants.wordpress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nottinghillaccountants.wordpress.com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nottinghillaccountants.wordpress.com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nottinghillaccountants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D50" sqref="D50"/>
    </sheetView>
  </sheetViews>
  <sheetFormatPr defaultRowHeight="15" x14ac:dyDescent="0.25"/>
  <cols>
    <col min="1" max="1" width="27.7109375" bestFit="1" customWidth="1"/>
    <col min="2" max="2" width="11.5703125" style="1" bestFit="1" customWidth="1"/>
    <col min="3" max="3" width="14" style="3" customWidth="1"/>
    <col min="4" max="4" width="10.5703125" style="3" customWidth="1"/>
    <col min="5" max="5" width="15.85546875" customWidth="1"/>
    <col min="6" max="7" width="10.5703125" bestFit="1" customWidth="1"/>
    <col min="11" max="11" width="12.7109375" customWidth="1"/>
    <col min="13" max="13" width="12.5703125" bestFit="1" customWidth="1"/>
  </cols>
  <sheetData>
    <row r="1" spans="1:7" x14ac:dyDescent="0.25">
      <c r="A1" s="7" t="s">
        <v>6</v>
      </c>
      <c r="B1" s="8"/>
    </row>
    <row r="2" spans="1:7" x14ac:dyDescent="0.25">
      <c r="A2" s="4" t="s">
        <v>30</v>
      </c>
      <c r="B2" s="31">
        <v>36000</v>
      </c>
      <c r="E2" s="33" t="s">
        <v>29</v>
      </c>
      <c r="F2" s="32"/>
      <c r="G2" s="19"/>
    </row>
    <row r="3" spans="1:7" x14ac:dyDescent="0.25">
      <c r="A3" s="4"/>
      <c r="B3" s="35"/>
    </row>
    <row r="4" spans="1:7" hidden="1" x14ac:dyDescent="0.25">
      <c r="A4" s="4"/>
      <c r="B4" s="35"/>
    </row>
    <row r="5" spans="1:7" hidden="1" x14ac:dyDescent="0.25">
      <c r="A5" s="29" t="s">
        <v>1</v>
      </c>
      <c r="B5" s="28">
        <f>SUM(B2:B4)</f>
        <v>36000</v>
      </c>
    </row>
    <row r="6" spans="1:7" hidden="1" x14ac:dyDescent="0.25">
      <c r="A6" s="4"/>
      <c r="B6" s="6"/>
    </row>
    <row r="7" spans="1:7" hidden="1" x14ac:dyDescent="0.25">
      <c r="A7" s="4" t="s">
        <v>4</v>
      </c>
      <c r="B7" s="5">
        <f>+B5</f>
        <v>36000</v>
      </c>
    </row>
    <row r="8" spans="1:7" hidden="1" x14ac:dyDescent="0.25">
      <c r="A8" s="11" t="s">
        <v>11</v>
      </c>
      <c r="B8" s="12" t="s">
        <v>9</v>
      </c>
      <c r="D8" s="13" t="s">
        <v>0</v>
      </c>
    </row>
    <row r="9" spans="1:7" hidden="1" x14ac:dyDescent="0.25">
      <c r="A9" s="9">
        <v>150000</v>
      </c>
      <c r="B9" s="10">
        <v>0.45</v>
      </c>
      <c r="C9" s="14">
        <f>IF($B$7&gt;A9,$B$7-A9,0)</f>
        <v>0</v>
      </c>
      <c r="D9" s="13">
        <f>+B9*C9</f>
        <v>0</v>
      </c>
    </row>
    <row r="10" spans="1:7" hidden="1" x14ac:dyDescent="0.25">
      <c r="A10" s="9">
        <f>MAX(0,IF(B5&gt;100000,A11+33500,45000))</f>
        <v>45000</v>
      </c>
      <c r="B10" s="10">
        <v>0.4</v>
      </c>
      <c r="C10" s="14">
        <f>IF($B$7&gt;A10,IF($B$7&gt;A9,A9-A10,$B$7-A10),0)</f>
        <v>0</v>
      </c>
      <c r="D10" s="13">
        <f>+B10*C10</f>
        <v>0</v>
      </c>
      <c r="F10" s="18"/>
    </row>
    <row r="11" spans="1:7" hidden="1" x14ac:dyDescent="0.25">
      <c r="A11" s="9">
        <f>MAX(0,IF(B5&gt;100000,'Notes Rest'!B7,11500))</f>
        <v>11500</v>
      </c>
      <c r="B11" s="10">
        <v>0.2</v>
      </c>
      <c r="C11" s="14">
        <f>MAX(0,IF($B$7&gt;A10,33500,$B$7-A11))</f>
        <v>24500</v>
      </c>
      <c r="D11" s="24">
        <f>+B11*C11</f>
        <v>4900</v>
      </c>
    </row>
    <row r="12" spans="1:7" hidden="1" x14ac:dyDescent="0.25">
      <c r="A12" s="11"/>
      <c r="B12" s="12"/>
      <c r="C12" s="16"/>
      <c r="D12" s="25">
        <f>SUM(D9:D11)</f>
        <v>4900</v>
      </c>
      <c r="E12" s="26" t="s">
        <v>10</v>
      </c>
      <c r="G12" s="18"/>
    </row>
    <row r="13" spans="1:7" hidden="1" x14ac:dyDescent="0.25">
      <c r="A13" s="11" t="s">
        <v>13</v>
      </c>
      <c r="B13" s="12">
        <f>+B2+B4</f>
        <v>36000</v>
      </c>
      <c r="C13" s="16"/>
      <c r="D13" s="15"/>
      <c r="E13" s="17"/>
    </row>
    <row r="14" spans="1:7" hidden="1" x14ac:dyDescent="0.25">
      <c r="A14" s="11" t="s">
        <v>12</v>
      </c>
      <c r="B14" s="5"/>
    </row>
    <row r="15" spans="1:7" hidden="1" x14ac:dyDescent="0.25">
      <c r="A15" s="9">
        <f>3750*12</f>
        <v>45000</v>
      </c>
      <c r="B15" s="10">
        <v>0.02</v>
      </c>
      <c r="C15" s="6">
        <f>IF($B$13&gt;A15,$B$13-A15,0)</f>
        <v>0</v>
      </c>
      <c r="D15" s="6">
        <f>+C15*B15</f>
        <v>0</v>
      </c>
    </row>
    <row r="16" spans="1:7" hidden="1" x14ac:dyDescent="0.25">
      <c r="A16" s="9">
        <f>680*12</f>
        <v>8160</v>
      </c>
      <c r="B16" s="10">
        <v>0.12</v>
      </c>
      <c r="C16" s="6">
        <f>MAX(0,IF($B$13&gt;A15,36840,$B$13-A16))</f>
        <v>27840</v>
      </c>
      <c r="D16" s="27">
        <f>+C16*B16</f>
        <v>3340.7999999999997</v>
      </c>
      <c r="F16" s="18"/>
    </row>
    <row r="17" spans="1:7" hidden="1" x14ac:dyDescent="0.25">
      <c r="A17" s="4"/>
      <c r="B17" s="5"/>
      <c r="D17" s="28">
        <f>SUM(D15:D16)</f>
        <v>3340.7999999999997</v>
      </c>
      <c r="E17" s="29" t="s">
        <v>15</v>
      </c>
      <c r="G17" s="2"/>
    </row>
    <row r="18" spans="1:7" x14ac:dyDescent="0.25">
      <c r="A18" s="4" t="s">
        <v>10</v>
      </c>
      <c r="B18" s="23">
        <f>+D12</f>
        <v>4900</v>
      </c>
      <c r="G18" s="2"/>
    </row>
    <row r="19" spans="1:7" x14ac:dyDescent="0.25">
      <c r="A19" s="4" t="s">
        <v>14</v>
      </c>
      <c r="B19" s="23">
        <f>+D17</f>
        <v>3340.7999999999997</v>
      </c>
      <c r="G19" s="2"/>
    </row>
    <row r="20" spans="1:7" x14ac:dyDescent="0.25">
      <c r="A20" s="4" t="s">
        <v>16</v>
      </c>
      <c r="B20" s="23">
        <f>SUM(B18:B19)</f>
        <v>8240.7999999999993</v>
      </c>
      <c r="G20" s="2"/>
    </row>
    <row r="21" spans="1:7" x14ac:dyDescent="0.25">
      <c r="A21" s="4"/>
      <c r="B21" s="23"/>
    </row>
    <row r="22" spans="1:7" x14ac:dyDescent="0.25">
      <c r="A22" s="4" t="s">
        <v>7</v>
      </c>
      <c r="B22" s="23">
        <f>B5-B20</f>
        <v>27759.200000000001</v>
      </c>
      <c r="E22" t="s">
        <v>31</v>
      </c>
    </row>
    <row r="23" spans="1:7" x14ac:dyDescent="0.25">
      <c r="A23" s="4" t="s">
        <v>8</v>
      </c>
      <c r="B23" s="30">
        <f>B22/12</f>
        <v>2313.2666666666669</v>
      </c>
      <c r="E23" s="34" t="s">
        <v>32</v>
      </c>
    </row>
  </sheetData>
  <hyperlinks>
    <hyperlink ref="E23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3"/>
  <sheetViews>
    <sheetView workbookViewId="0">
      <selection activeCell="C2" sqref="C2:C3"/>
    </sheetView>
  </sheetViews>
  <sheetFormatPr defaultRowHeight="15" x14ac:dyDescent="0.25"/>
  <cols>
    <col min="2" max="2" width="27.7109375" bestFit="1" customWidth="1"/>
    <col min="3" max="3" width="11.5703125" style="1" bestFit="1" customWidth="1"/>
    <col min="4" max="4" width="14" style="3" customWidth="1"/>
    <col min="5" max="5" width="10.5703125" style="3" customWidth="1"/>
    <col min="6" max="6" width="15.85546875" customWidth="1"/>
    <col min="7" max="8" width="10.5703125" bestFit="1" customWidth="1"/>
    <col min="12" max="12" width="12.7109375" customWidth="1"/>
    <col min="14" max="14" width="12.5703125" bestFit="1" customWidth="1"/>
  </cols>
  <sheetData>
    <row r="1" spans="2:8" x14ac:dyDescent="0.25">
      <c r="B1" s="7" t="s">
        <v>6</v>
      </c>
      <c r="C1" s="8"/>
    </row>
    <row r="2" spans="2:8" x14ac:dyDescent="0.25">
      <c r="B2" s="4" t="s">
        <v>2</v>
      </c>
      <c r="C2" s="31">
        <v>16380</v>
      </c>
      <c r="F2" s="33" t="s">
        <v>29</v>
      </c>
      <c r="G2" s="32"/>
      <c r="H2" s="19"/>
    </row>
    <row r="3" spans="2:8" x14ac:dyDescent="0.25">
      <c r="B3" s="4" t="s">
        <v>3</v>
      </c>
      <c r="C3" s="31">
        <v>19620</v>
      </c>
    </row>
    <row r="4" spans="2:8" x14ac:dyDescent="0.25">
      <c r="B4" s="4" t="s">
        <v>28</v>
      </c>
      <c r="C4" s="31">
        <v>0</v>
      </c>
    </row>
    <row r="5" spans="2:8" x14ac:dyDescent="0.25">
      <c r="B5" s="29" t="s">
        <v>1</v>
      </c>
      <c r="C5" s="28">
        <f>SUM(C2:C4)</f>
        <v>36000</v>
      </c>
    </row>
    <row r="6" spans="2:8" x14ac:dyDescent="0.25">
      <c r="B6" s="4"/>
      <c r="C6" s="6"/>
    </row>
    <row r="7" spans="2:8" hidden="1" x14ac:dyDescent="0.25">
      <c r="B7" s="4" t="s">
        <v>4</v>
      </c>
      <c r="C7" s="5">
        <f>+C5</f>
        <v>36000</v>
      </c>
    </row>
    <row r="8" spans="2:8" hidden="1" x14ac:dyDescent="0.25">
      <c r="B8" s="11" t="s">
        <v>11</v>
      </c>
      <c r="C8" s="12" t="s">
        <v>9</v>
      </c>
      <c r="E8" s="13" t="s">
        <v>0</v>
      </c>
    </row>
    <row r="9" spans="2:8" hidden="1" x14ac:dyDescent="0.25">
      <c r="B9" s="9">
        <v>150000</v>
      </c>
      <c r="C9" s="10">
        <v>0.45</v>
      </c>
      <c r="D9" s="14">
        <f>IF($C$7&gt;B9,$C$7-B9,0)</f>
        <v>0</v>
      </c>
      <c r="E9" s="13">
        <f>+C9*D9</f>
        <v>0</v>
      </c>
    </row>
    <row r="10" spans="2:8" hidden="1" x14ac:dyDescent="0.25">
      <c r="B10" s="9">
        <f>MAX(0,IF(C5&gt;100000,B11+33500,45000))</f>
        <v>45000</v>
      </c>
      <c r="C10" s="10">
        <v>0.4</v>
      </c>
      <c r="D10" s="14">
        <f>IF($C$7&gt;B10,IF($C$7&gt;B9,B9-B10,$C$7-B10),0)</f>
        <v>0</v>
      </c>
      <c r="E10" s="13">
        <f>+C10*D10</f>
        <v>0</v>
      </c>
      <c r="G10" s="18"/>
    </row>
    <row r="11" spans="2:8" hidden="1" x14ac:dyDescent="0.25">
      <c r="B11" s="9">
        <f>MAX(0,IF(C5&gt;100000,'Notes Rest'!B7,11500))</f>
        <v>11500</v>
      </c>
      <c r="C11" s="10">
        <v>0.2</v>
      </c>
      <c r="D11" s="14">
        <f>MAX(0,IF($C$7&gt;B10,33500,$C$7-B11))</f>
        <v>24500</v>
      </c>
      <c r="E11" s="24">
        <f>+C11*D11</f>
        <v>4900</v>
      </c>
    </row>
    <row r="12" spans="2:8" hidden="1" x14ac:dyDescent="0.25">
      <c r="B12" s="11"/>
      <c r="C12" s="12"/>
      <c r="D12" s="16"/>
      <c r="E12" s="25">
        <f>SUM(E9:E11)</f>
        <v>4900</v>
      </c>
      <c r="F12" s="26" t="s">
        <v>10</v>
      </c>
      <c r="H12" s="18"/>
    </row>
    <row r="13" spans="2:8" hidden="1" x14ac:dyDescent="0.25">
      <c r="B13" s="11" t="s">
        <v>13</v>
      </c>
      <c r="C13" s="12">
        <f>+C2+C4</f>
        <v>16380</v>
      </c>
      <c r="D13" s="16"/>
      <c r="E13" s="15"/>
      <c r="F13" s="17"/>
    </row>
    <row r="14" spans="2:8" hidden="1" x14ac:dyDescent="0.25">
      <c r="B14" s="11" t="s">
        <v>12</v>
      </c>
      <c r="C14" s="5"/>
    </row>
    <row r="15" spans="2:8" hidden="1" x14ac:dyDescent="0.25">
      <c r="B15" s="9">
        <f>3750*12</f>
        <v>45000</v>
      </c>
      <c r="C15" s="10">
        <v>0.02</v>
      </c>
      <c r="D15" s="6">
        <f>IF($C$13&gt;B15,$C$13-B15,0)</f>
        <v>0</v>
      </c>
      <c r="E15" s="6">
        <f>+D15*C15</f>
        <v>0</v>
      </c>
    </row>
    <row r="16" spans="2:8" hidden="1" x14ac:dyDescent="0.25">
      <c r="B16" s="9">
        <f>680*12</f>
        <v>8160</v>
      </c>
      <c r="C16" s="10">
        <v>0.12</v>
      </c>
      <c r="D16" s="6">
        <f>MAX(0,IF($C$13&gt;B15,36840,$C$13-B16))</f>
        <v>8220</v>
      </c>
      <c r="E16" s="27">
        <f>+D16*C16</f>
        <v>986.4</v>
      </c>
      <c r="G16" s="18"/>
    </row>
    <row r="17" spans="2:8" hidden="1" x14ac:dyDescent="0.25">
      <c r="B17" s="4"/>
      <c r="C17" s="5"/>
      <c r="E17" s="28">
        <f>SUM(E15:E16)</f>
        <v>986.4</v>
      </c>
      <c r="F17" s="29" t="s">
        <v>15</v>
      </c>
      <c r="H17" s="2"/>
    </row>
    <row r="18" spans="2:8" x14ac:dyDescent="0.25">
      <c r="B18" s="4" t="s">
        <v>10</v>
      </c>
      <c r="C18" s="23">
        <f>+E12</f>
        <v>4900</v>
      </c>
      <c r="H18" s="2"/>
    </row>
    <row r="19" spans="2:8" x14ac:dyDescent="0.25">
      <c r="B19" s="4" t="s">
        <v>14</v>
      </c>
      <c r="C19" s="23">
        <f>+E17</f>
        <v>986.4</v>
      </c>
      <c r="H19" s="2"/>
    </row>
    <row r="20" spans="2:8" x14ac:dyDescent="0.25">
      <c r="B20" s="4" t="s">
        <v>16</v>
      </c>
      <c r="C20" s="23">
        <f>SUM(C18:C19)</f>
        <v>5886.4</v>
      </c>
      <c r="H20" s="2"/>
    </row>
    <row r="21" spans="2:8" x14ac:dyDescent="0.25">
      <c r="B21" s="4"/>
      <c r="C21" s="23"/>
    </row>
    <row r="22" spans="2:8" x14ac:dyDescent="0.25">
      <c r="B22" s="4" t="s">
        <v>7</v>
      </c>
      <c r="C22" s="23">
        <f>C5-C20</f>
        <v>30113.599999999999</v>
      </c>
      <c r="F22" t="s">
        <v>31</v>
      </c>
    </row>
    <row r="23" spans="2:8" x14ac:dyDescent="0.25">
      <c r="B23" s="4" t="s">
        <v>8</v>
      </c>
      <c r="C23" s="30">
        <f>C22/12</f>
        <v>2509.4666666666667</v>
      </c>
      <c r="F23" s="34" t="s">
        <v>32</v>
      </c>
    </row>
  </sheetData>
  <hyperlinks>
    <hyperlink ref="F23" r:id="rId1"/>
  </hyperlinks>
  <pageMargins left="0.7" right="0.7" top="0.75" bottom="0.75" header="0.3" footer="0.3"/>
  <pageSetup orientation="portrait" horizontalDpi="4294967293" verticalDpi="4294967293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C1" workbookViewId="0">
      <selection activeCell="E3" sqref="E3"/>
    </sheetView>
  </sheetViews>
  <sheetFormatPr defaultRowHeight="15" x14ac:dyDescent="0.25"/>
  <cols>
    <col min="1" max="1" width="25.85546875" hidden="1" customWidth="1"/>
    <col min="2" max="2" width="10" hidden="1" customWidth="1"/>
    <col min="4" max="4" width="27.7109375" bestFit="1" customWidth="1"/>
    <col min="5" max="5" width="11.5703125" style="1" bestFit="1" customWidth="1"/>
    <col min="6" max="6" width="14" style="3" customWidth="1"/>
    <col min="7" max="7" width="10.5703125" style="3" customWidth="1"/>
    <col min="8" max="8" width="15.85546875" customWidth="1"/>
    <col min="9" max="10" width="10.5703125" bestFit="1" customWidth="1"/>
    <col min="14" max="14" width="12.7109375" customWidth="1"/>
    <col min="16" max="16" width="12.5703125" bestFit="1" customWidth="1"/>
  </cols>
  <sheetData>
    <row r="1" spans="1:10" x14ac:dyDescent="0.25">
      <c r="A1" s="20" t="s">
        <v>33</v>
      </c>
      <c r="D1" s="7" t="s">
        <v>6</v>
      </c>
      <c r="E1" s="8"/>
    </row>
    <row r="2" spans="1:10" x14ac:dyDescent="0.25">
      <c r="A2" t="s">
        <v>5</v>
      </c>
      <c r="B2" s="36">
        <v>11850</v>
      </c>
      <c r="D2" s="4" t="s">
        <v>30</v>
      </c>
      <c r="E2" s="31">
        <v>36000</v>
      </c>
      <c r="H2" s="33" t="s">
        <v>29</v>
      </c>
      <c r="I2" s="32"/>
      <c r="J2" s="19"/>
    </row>
    <row r="3" spans="1:10" x14ac:dyDescent="0.25">
      <c r="A3" t="s">
        <v>34</v>
      </c>
      <c r="B3" s="36">
        <v>34500</v>
      </c>
      <c r="D3" s="4"/>
      <c r="E3" s="35"/>
    </row>
    <row r="4" spans="1:10" x14ac:dyDescent="0.25">
      <c r="A4" t="s">
        <v>35</v>
      </c>
      <c r="B4" s="36">
        <f>+B2+B3</f>
        <v>46350</v>
      </c>
      <c r="D4" s="4"/>
      <c r="E4" s="35"/>
    </row>
    <row r="5" spans="1:10" x14ac:dyDescent="0.25">
      <c r="A5" t="s">
        <v>36</v>
      </c>
      <c r="B5" s="36">
        <v>150000</v>
      </c>
      <c r="D5" s="29" t="s">
        <v>1</v>
      </c>
      <c r="E5" s="28">
        <f>SUM(E2:E4)</f>
        <v>36000</v>
      </c>
    </row>
    <row r="6" spans="1:10" x14ac:dyDescent="0.25">
      <c r="D6" s="4"/>
      <c r="E6" s="6"/>
    </row>
    <row r="7" spans="1:10" hidden="1" x14ac:dyDescent="0.25">
      <c r="A7" s="20" t="s">
        <v>37</v>
      </c>
      <c r="D7" s="4" t="s">
        <v>4</v>
      </c>
      <c r="E7" s="5">
        <f>+E5</f>
        <v>36000</v>
      </c>
    </row>
    <row r="8" spans="1:10" hidden="1" x14ac:dyDescent="0.25">
      <c r="A8" t="s">
        <v>38</v>
      </c>
      <c r="B8" s="36">
        <v>8424</v>
      </c>
      <c r="D8" s="11" t="s">
        <v>11</v>
      </c>
      <c r="E8" s="12" t="s">
        <v>9</v>
      </c>
      <c r="G8" s="13" t="s">
        <v>0</v>
      </c>
    </row>
    <row r="9" spans="1:10" hidden="1" x14ac:dyDescent="0.25">
      <c r="A9" t="s">
        <v>39</v>
      </c>
      <c r="B9" s="36">
        <v>46350</v>
      </c>
      <c r="D9" s="9">
        <v>150000</v>
      </c>
      <c r="E9" s="10">
        <v>0.45</v>
      </c>
      <c r="F9" s="14">
        <f>IF($E$7&gt;D9,$E$7-D9,0)</f>
        <v>0</v>
      </c>
      <c r="G9" s="13">
        <f>+E9*F9</f>
        <v>0</v>
      </c>
    </row>
    <row r="10" spans="1:10" hidden="1" x14ac:dyDescent="0.25">
      <c r="D10" s="9">
        <f>MAX(0,IF(E5&gt;100000,D11+B3,B4))</f>
        <v>46350</v>
      </c>
      <c r="E10" s="10">
        <v>0.4</v>
      </c>
      <c r="F10" s="14">
        <f>IF($E$7&gt;D10,IF($E$7&gt;D9,D9-D10,$E$7-D10),0)</f>
        <v>0</v>
      </c>
      <c r="G10" s="13">
        <f>+E10*F10</f>
        <v>0</v>
      </c>
      <c r="I10" s="18"/>
    </row>
    <row r="11" spans="1:10" hidden="1" x14ac:dyDescent="0.25">
      <c r="D11" s="9">
        <f>MAX(0,IF(E5&gt;100000,'Notes Rest'!B7,B2))</f>
        <v>11850</v>
      </c>
      <c r="E11" s="10">
        <v>0.2</v>
      </c>
      <c r="F11" s="14">
        <f>MAX(0,IF($E$7&gt;D10,33500,$E$7-D11))</f>
        <v>24150</v>
      </c>
      <c r="G11" s="24">
        <f>+E11*F11</f>
        <v>4830</v>
      </c>
    </row>
    <row r="12" spans="1:10" hidden="1" x14ac:dyDescent="0.25">
      <c r="D12" s="11"/>
      <c r="E12" s="12"/>
      <c r="F12" s="16"/>
      <c r="G12" s="25">
        <f>SUM(G9:G11)</f>
        <v>4830</v>
      </c>
      <c r="H12" s="26" t="s">
        <v>10</v>
      </c>
      <c r="J12" s="18"/>
    </row>
    <row r="13" spans="1:10" hidden="1" x14ac:dyDescent="0.25">
      <c r="D13" s="11" t="s">
        <v>13</v>
      </c>
      <c r="E13" s="12">
        <f>+E2+E4</f>
        <v>36000</v>
      </c>
      <c r="F13" s="16"/>
      <c r="G13" s="15"/>
      <c r="H13" s="17"/>
    </row>
    <row r="14" spans="1:10" hidden="1" x14ac:dyDescent="0.25">
      <c r="D14" s="11" t="s">
        <v>12</v>
      </c>
      <c r="E14" s="5"/>
    </row>
    <row r="15" spans="1:10" hidden="1" x14ac:dyDescent="0.25">
      <c r="D15" s="9">
        <f>3750*12</f>
        <v>45000</v>
      </c>
      <c r="E15" s="10">
        <v>0.02</v>
      </c>
      <c r="F15" s="6">
        <f>IF($E$13&gt;D15,$E$13-D15,0)</f>
        <v>0</v>
      </c>
      <c r="G15" s="6">
        <f>+F15*E15</f>
        <v>0</v>
      </c>
    </row>
    <row r="16" spans="1:10" hidden="1" x14ac:dyDescent="0.25">
      <c r="D16" s="9">
        <f>+B8</f>
        <v>8424</v>
      </c>
      <c r="E16" s="10">
        <v>0.12</v>
      </c>
      <c r="F16" s="6">
        <f>MAX(0,IF($E$13&gt;D15,36840,$E$13-D16))</f>
        <v>27576</v>
      </c>
      <c r="G16" s="27">
        <f>+F16*E16</f>
        <v>3309.12</v>
      </c>
      <c r="I16" s="18"/>
    </row>
    <row r="17" spans="4:10" hidden="1" x14ac:dyDescent="0.25">
      <c r="D17" s="4"/>
      <c r="E17" s="5"/>
      <c r="G17" s="28">
        <f>SUM(G15:G16)</f>
        <v>3309.12</v>
      </c>
      <c r="H17" s="29" t="s">
        <v>15</v>
      </c>
      <c r="J17" s="2"/>
    </row>
    <row r="18" spans="4:10" x14ac:dyDescent="0.25">
      <c r="D18" s="4" t="s">
        <v>10</v>
      </c>
      <c r="E18" s="23">
        <f>+G12</f>
        <v>4830</v>
      </c>
      <c r="J18" s="2"/>
    </row>
    <row r="19" spans="4:10" x14ac:dyDescent="0.25">
      <c r="D19" s="4" t="s">
        <v>14</v>
      </c>
      <c r="E19" s="23">
        <f>+G17</f>
        <v>3309.12</v>
      </c>
      <c r="J19" s="2"/>
    </row>
    <row r="20" spans="4:10" x14ac:dyDescent="0.25">
      <c r="D20" s="4" t="s">
        <v>16</v>
      </c>
      <c r="E20" s="23">
        <f>SUM(E18:E19)</f>
        <v>8139.12</v>
      </c>
      <c r="J20" s="2"/>
    </row>
    <row r="21" spans="4:10" x14ac:dyDescent="0.25">
      <c r="D21" s="4"/>
      <c r="E21" s="23"/>
    </row>
    <row r="22" spans="4:10" x14ac:dyDescent="0.25">
      <c r="D22" s="4" t="s">
        <v>7</v>
      </c>
      <c r="E22" s="23">
        <f>E5-E20</f>
        <v>27860.880000000001</v>
      </c>
      <c r="H22" t="s">
        <v>31</v>
      </c>
    </row>
    <row r="23" spans="4:10" x14ac:dyDescent="0.25">
      <c r="D23" s="4" t="s">
        <v>8</v>
      </c>
      <c r="E23" s="30">
        <f>E22/12</f>
        <v>2321.7400000000002</v>
      </c>
      <c r="H23" s="34" t="s">
        <v>32</v>
      </c>
    </row>
  </sheetData>
  <hyperlinks>
    <hyperlink ref="H23" r:id="rId1"/>
  </hyperlinks>
  <pageMargins left="0.7" right="0.7" top="0.75" bottom="0.75" header="0.3" footer="0.3"/>
  <pageSetup orientation="portrait" horizontalDpi="4294967293" verticalDpi="4294967293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C1" workbookViewId="0">
      <selection activeCell="D38" sqref="D38"/>
    </sheetView>
  </sheetViews>
  <sheetFormatPr defaultRowHeight="15" x14ac:dyDescent="0.25"/>
  <cols>
    <col min="1" max="1" width="25.85546875" hidden="1" customWidth="1"/>
    <col min="2" max="2" width="10" hidden="1" customWidth="1"/>
    <col min="4" max="4" width="27.7109375" bestFit="1" customWidth="1"/>
    <col min="5" max="5" width="11.5703125" style="1" bestFit="1" customWidth="1"/>
    <col min="6" max="6" width="14" style="3" customWidth="1"/>
    <col min="7" max="7" width="10.5703125" style="3" customWidth="1"/>
    <col min="8" max="8" width="15.85546875" customWidth="1"/>
    <col min="9" max="10" width="10.5703125" bestFit="1" customWidth="1"/>
    <col min="14" max="14" width="12.7109375" customWidth="1"/>
    <col min="16" max="16" width="12.5703125" bestFit="1" customWidth="1"/>
  </cols>
  <sheetData>
    <row r="1" spans="1:10" x14ac:dyDescent="0.25">
      <c r="A1" s="20" t="s">
        <v>33</v>
      </c>
      <c r="D1" s="7" t="s">
        <v>6</v>
      </c>
      <c r="E1" s="8"/>
    </row>
    <row r="2" spans="1:10" x14ac:dyDescent="0.25">
      <c r="A2" t="s">
        <v>5</v>
      </c>
      <c r="B2" s="36">
        <v>12500</v>
      </c>
      <c r="D2" s="4" t="s">
        <v>30</v>
      </c>
      <c r="E2" s="31">
        <v>180000</v>
      </c>
      <c r="H2" s="33" t="s">
        <v>29</v>
      </c>
      <c r="I2" s="32"/>
      <c r="J2" s="19"/>
    </row>
    <row r="3" spans="1:10" x14ac:dyDescent="0.25">
      <c r="A3" t="s">
        <v>34</v>
      </c>
      <c r="B3" s="36">
        <v>37500</v>
      </c>
      <c r="D3" s="4"/>
      <c r="E3" s="35"/>
    </row>
    <row r="4" spans="1:10" x14ac:dyDescent="0.25">
      <c r="A4" t="s">
        <v>35</v>
      </c>
      <c r="B4" s="36">
        <f>+B2+B3</f>
        <v>50000</v>
      </c>
      <c r="D4" s="4"/>
      <c r="E4" s="35"/>
    </row>
    <row r="5" spans="1:10" x14ac:dyDescent="0.25">
      <c r="A5" t="s">
        <v>36</v>
      </c>
      <c r="B5" s="36">
        <v>150000</v>
      </c>
      <c r="D5" s="29" t="s">
        <v>1</v>
      </c>
      <c r="E5" s="28">
        <f>SUM(E2:E4)</f>
        <v>180000</v>
      </c>
    </row>
    <row r="6" spans="1:10" x14ac:dyDescent="0.25">
      <c r="D6" s="4"/>
      <c r="E6" s="6"/>
    </row>
    <row r="7" spans="1:10" hidden="1" x14ac:dyDescent="0.25">
      <c r="A7" s="20" t="s">
        <v>37</v>
      </c>
      <c r="D7" s="4" t="s">
        <v>4</v>
      </c>
      <c r="E7" s="5">
        <f>+E5</f>
        <v>180000</v>
      </c>
    </row>
    <row r="8" spans="1:10" hidden="1" x14ac:dyDescent="0.25">
      <c r="A8" t="s">
        <v>40</v>
      </c>
      <c r="B8" s="36">
        <v>8632</v>
      </c>
      <c r="D8" s="11" t="s">
        <v>11</v>
      </c>
      <c r="E8" s="12" t="s">
        <v>9</v>
      </c>
      <c r="G8" s="13" t="s">
        <v>0</v>
      </c>
    </row>
    <row r="9" spans="1:10" hidden="1" x14ac:dyDescent="0.25">
      <c r="A9" t="s">
        <v>39</v>
      </c>
      <c r="B9" s="36">
        <v>50000</v>
      </c>
      <c r="D9" s="9">
        <v>150000</v>
      </c>
      <c r="E9" s="10">
        <v>0.45</v>
      </c>
      <c r="F9" s="14">
        <f>IF($E$7&gt;D9,$E$7-D9,0)</f>
        <v>30000</v>
      </c>
      <c r="G9" s="13">
        <f>+E9*F9</f>
        <v>13500</v>
      </c>
    </row>
    <row r="10" spans="1:10" hidden="1" x14ac:dyDescent="0.25">
      <c r="D10" s="9">
        <f>MAX(0,IF(E5&gt;100000,D11+B3,B4))</f>
        <v>89753.919999999998</v>
      </c>
      <c r="E10" s="10">
        <v>0.4</v>
      </c>
      <c r="F10" s="14">
        <f>IF($E$7&gt;D10,IF($E$7&gt;D9,D9-D10,$E$7-D10),0)</f>
        <v>60246.080000000002</v>
      </c>
      <c r="G10" s="13">
        <f>+E10*F10</f>
        <v>24098.432000000001</v>
      </c>
      <c r="I10" s="18"/>
    </row>
    <row r="11" spans="1:10" hidden="1" x14ac:dyDescent="0.25">
      <c r="D11" s="9">
        <f>MAX(0,IF(E5&gt;100000,'Notes Rest'!B7,B2))</f>
        <v>52253.919999999998</v>
      </c>
      <c r="E11" s="10">
        <v>0.2</v>
      </c>
      <c r="F11" s="14">
        <f>MAX(0,IF($E$7&gt;D10,B3,$E$7-D11))</f>
        <v>37500</v>
      </c>
      <c r="G11" s="24">
        <f>+E11*F11</f>
        <v>7500</v>
      </c>
    </row>
    <row r="12" spans="1:10" hidden="1" x14ac:dyDescent="0.25">
      <c r="D12" s="11"/>
      <c r="E12" s="12"/>
      <c r="F12" s="16"/>
      <c r="G12" s="25">
        <f>SUM(G9:G11)</f>
        <v>45098.432000000001</v>
      </c>
      <c r="H12" s="26" t="s">
        <v>10</v>
      </c>
      <c r="J12" s="18"/>
    </row>
    <row r="13" spans="1:10" hidden="1" x14ac:dyDescent="0.25">
      <c r="D13" s="11" t="s">
        <v>13</v>
      </c>
      <c r="E13" s="12">
        <f>+E2+E4</f>
        <v>180000</v>
      </c>
      <c r="F13" s="16"/>
      <c r="G13" s="15"/>
      <c r="H13" s="17"/>
    </row>
    <row r="14" spans="1:10" hidden="1" x14ac:dyDescent="0.25">
      <c r="D14" s="11" t="s">
        <v>12</v>
      </c>
      <c r="E14" s="5"/>
    </row>
    <row r="15" spans="1:10" hidden="1" x14ac:dyDescent="0.25">
      <c r="D15" s="9">
        <f>B9</f>
        <v>50000</v>
      </c>
      <c r="E15" s="10">
        <v>0.02</v>
      </c>
      <c r="F15" s="6">
        <f>IF($E$13&gt;D15,$E$13-D15,0)</f>
        <v>130000</v>
      </c>
      <c r="G15" s="6">
        <f>+F15*E15</f>
        <v>2600</v>
      </c>
    </row>
    <row r="16" spans="1:10" hidden="1" x14ac:dyDescent="0.25">
      <c r="D16" s="9">
        <f>+B8</f>
        <v>8632</v>
      </c>
      <c r="E16" s="10">
        <v>0.12</v>
      </c>
      <c r="F16" s="6">
        <f>MAX(0,IF($E$13&gt;D15,(B9-B8),$E$13-D16))</f>
        <v>41368</v>
      </c>
      <c r="G16" s="27">
        <f>+F16*E16</f>
        <v>4964.16</v>
      </c>
      <c r="I16" s="18"/>
    </row>
    <row r="17" spans="4:10" hidden="1" x14ac:dyDescent="0.25">
      <c r="D17" s="4"/>
      <c r="E17" s="5"/>
      <c r="G17" s="28">
        <f>SUM(G15:G16)</f>
        <v>7564.16</v>
      </c>
      <c r="H17" s="29" t="s">
        <v>15</v>
      </c>
      <c r="J17" s="2"/>
    </row>
    <row r="18" spans="4:10" x14ac:dyDescent="0.25">
      <c r="D18" s="4" t="s">
        <v>10</v>
      </c>
      <c r="E18" s="23">
        <f>+G12</f>
        <v>45098.432000000001</v>
      </c>
      <c r="J18" s="2"/>
    </row>
    <row r="19" spans="4:10" x14ac:dyDescent="0.25">
      <c r="D19" s="4" t="s">
        <v>14</v>
      </c>
      <c r="E19" s="23">
        <f>+G17</f>
        <v>7564.16</v>
      </c>
      <c r="J19" s="2"/>
    </row>
    <row r="20" spans="4:10" x14ac:dyDescent="0.25">
      <c r="D20" s="4" t="s">
        <v>16</v>
      </c>
      <c r="E20" s="23">
        <f>SUM(E18:E19)</f>
        <v>52662.592000000004</v>
      </c>
      <c r="J20" s="2"/>
    </row>
    <row r="21" spans="4:10" x14ac:dyDescent="0.25">
      <c r="D21" s="4"/>
      <c r="E21" s="23"/>
    </row>
    <row r="22" spans="4:10" x14ac:dyDescent="0.25">
      <c r="D22" s="4" t="s">
        <v>7</v>
      </c>
      <c r="E22" s="23">
        <f>E5-E20</f>
        <v>127337.408</v>
      </c>
      <c r="H22" t="s">
        <v>31</v>
      </c>
    </row>
    <row r="23" spans="4:10" x14ac:dyDescent="0.25">
      <c r="D23" s="4" t="s">
        <v>8</v>
      </c>
      <c r="E23" s="30">
        <f>E22/12</f>
        <v>10611.450666666666</v>
      </c>
      <c r="H23" s="34" t="s">
        <v>32</v>
      </c>
    </row>
  </sheetData>
  <hyperlinks>
    <hyperlink ref="H23" r:id="rId1"/>
  </hyperlinks>
  <pageMargins left="0.7" right="0.7" top="0.75" bottom="0.75" header="0.3" footer="0.3"/>
  <pageSetup orientation="portrait" horizontalDpi="4294967293" verticalDpi="4294967293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B3" sqref="B3"/>
    </sheetView>
  </sheetViews>
  <sheetFormatPr defaultRowHeight="15" x14ac:dyDescent="0.25"/>
  <cols>
    <col min="1" max="1" width="48.7109375" bestFit="1" customWidth="1"/>
    <col min="2" max="2" width="11.42578125" customWidth="1"/>
  </cols>
  <sheetData>
    <row r="1" spans="1:4" x14ac:dyDescent="0.25">
      <c r="A1" s="20" t="s">
        <v>17</v>
      </c>
    </row>
    <row r="2" spans="1:4" x14ac:dyDescent="0.25">
      <c r="A2" t="s">
        <v>18</v>
      </c>
      <c r="B2" s="21">
        <f>'General 19-20'!E2</f>
        <v>180000</v>
      </c>
      <c r="C2" t="s">
        <v>21</v>
      </c>
    </row>
    <row r="3" spans="1:4" x14ac:dyDescent="0.25">
      <c r="A3" t="s">
        <v>19</v>
      </c>
      <c r="B3" s="21">
        <v>100000</v>
      </c>
      <c r="C3" t="s">
        <v>22</v>
      </c>
    </row>
    <row r="4" spans="1:4" x14ac:dyDescent="0.25">
      <c r="A4" t="s">
        <v>20</v>
      </c>
      <c r="B4" s="21">
        <f>B2-B3</f>
        <v>80000</v>
      </c>
      <c r="C4" t="s">
        <v>26</v>
      </c>
      <c r="D4" t="s">
        <v>23</v>
      </c>
    </row>
    <row r="5" spans="1:4" x14ac:dyDescent="0.25">
      <c r="A5" t="s">
        <v>5</v>
      </c>
      <c r="B5" s="21">
        <f>'General 19-20'!B2</f>
        <v>12500</v>
      </c>
      <c r="C5" t="s">
        <v>24</v>
      </c>
    </row>
    <row r="6" spans="1:4" x14ac:dyDescent="0.25">
      <c r="B6" s="21">
        <f>B4*0.5</f>
        <v>40000</v>
      </c>
      <c r="C6" t="s">
        <v>25</v>
      </c>
    </row>
    <row r="7" spans="1:4" x14ac:dyDescent="0.25">
      <c r="A7" t="s">
        <v>27</v>
      </c>
      <c r="B7" s="22">
        <f>+B5-B6</f>
        <v>-27500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C1" workbookViewId="0">
      <selection activeCell="E2" sqref="E2"/>
    </sheetView>
  </sheetViews>
  <sheetFormatPr defaultRowHeight="15" x14ac:dyDescent="0.25"/>
  <cols>
    <col min="1" max="1" width="25.85546875" hidden="1" customWidth="1"/>
    <col min="2" max="2" width="14.42578125" hidden="1" customWidth="1"/>
    <col min="3" max="3" width="9.140625" customWidth="1"/>
    <col min="4" max="4" width="27.7109375" bestFit="1" customWidth="1"/>
    <col min="5" max="5" width="11.5703125" style="1" bestFit="1" customWidth="1"/>
    <col min="6" max="6" width="14" style="3" customWidth="1"/>
    <col min="7" max="7" width="10.5703125" style="3" customWidth="1"/>
    <col min="8" max="8" width="15.85546875" customWidth="1"/>
    <col min="9" max="10" width="10.5703125" bestFit="1" customWidth="1"/>
    <col min="14" max="14" width="12.7109375" customWidth="1"/>
    <col min="16" max="16" width="12.5703125" bestFit="1" customWidth="1"/>
  </cols>
  <sheetData>
    <row r="1" spans="1:10" x14ac:dyDescent="0.25">
      <c r="A1" s="20" t="s">
        <v>33</v>
      </c>
      <c r="D1" s="7" t="s">
        <v>6</v>
      </c>
      <c r="E1" s="8"/>
    </row>
    <row r="2" spans="1:10" x14ac:dyDescent="0.25">
      <c r="A2" t="s">
        <v>5</v>
      </c>
      <c r="B2" s="39">
        <v>12500</v>
      </c>
      <c r="D2" s="38" t="s">
        <v>41</v>
      </c>
      <c r="E2" s="40">
        <v>48</v>
      </c>
      <c r="H2" s="33" t="s">
        <v>29</v>
      </c>
      <c r="I2" s="32"/>
      <c r="J2" s="19"/>
    </row>
    <row r="3" spans="1:10" x14ac:dyDescent="0.25">
      <c r="A3" t="s">
        <v>34</v>
      </c>
      <c r="B3" s="39">
        <v>37500</v>
      </c>
      <c r="D3" s="38" t="s">
        <v>42</v>
      </c>
      <c r="E3" s="41">
        <v>8.2100000000000009</v>
      </c>
    </row>
    <row r="4" spans="1:10" x14ac:dyDescent="0.25">
      <c r="A4" t="s">
        <v>35</v>
      </c>
      <c r="B4" s="39">
        <f>+B2+B3</f>
        <v>50000</v>
      </c>
      <c r="D4" s="4" t="s">
        <v>2</v>
      </c>
      <c r="E4" s="31">
        <f>E2*E3*52</f>
        <v>20492.160000000003</v>
      </c>
    </row>
    <row r="5" spans="1:10" x14ac:dyDescent="0.25">
      <c r="A5" t="s">
        <v>36</v>
      </c>
      <c r="B5" s="39">
        <v>150000</v>
      </c>
      <c r="D5" s="4" t="s">
        <v>3</v>
      </c>
      <c r="E5" s="31">
        <v>14500</v>
      </c>
    </row>
    <row r="6" spans="1:10" x14ac:dyDescent="0.25">
      <c r="D6" s="4" t="s">
        <v>28</v>
      </c>
      <c r="E6" s="31">
        <v>0</v>
      </c>
    </row>
    <row r="7" spans="1:10" x14ac:dyDescent="0.25">
      <c r="A7" s="20" t="s">
        <v>37</v>
      </c>
      <c r="D7" s="29" t="s">
        <v>1</v>
      </c>
      <c r="E7" s="28">
        <f>SUM(E4:E6)</f>
        <v>34992.160000000003</v>
      </c>
    </row>
    <row r="8" spans="1:10" hidden="1" x14ac:dyDescent="0.25">
      <c r="A8" t="s">
        <v>38</v>
      </c>
      <c r="B8" s="39">
        <v>8632</v>
      </c>
      <c r="D8" s="4"/>
      <c r="E8" s="6"/>
      <c r="G8" s="13" t="s">
        <v>0</v>
      </c>
    </row>
    <row r="9" spans="1:10" hidden="1" x14ac:dyDescent="0.25">
      <c r="A9" t="s">
        <v>39</v>
      </c>
      <c r="B9" s="39">
        <v>50000</v>
      </c>
      <c r="D9" s="4" t="s">
        <v>4</v>
      </c>
      <c r="E9" s="5">
        <f>+E7</f>
        <v>34992.160000000003</v>
      </c>
      <c r="F9" s="14">
        <f>IF($E$9&gt;D11,$E$9-D11,0)</f>
        <v>0</v>
      </c>
      <c r="G9" s="13">
        <f>+E11*F9</f>
        <v>0</v>
      </c>
    </row>
    <row r="10" spans="1:10" hidden="1" x14ac:dyDescent="0.25">
      <c r="D10" s="11" t="s">
        <v>11</v>
      </c>
      <c r="E10" s="12" t="s">
        <v>9</v>
      </c>
      <c r="F10" s="14">
        <f>IF($E$9&gt;D12,IF($E$9&gt;D11,D11-D12,$E$9-D12),0)</f>
        <v>0</v>
      </c>
      <c r="G10" s="13">
        <f>+E12*F10</f>
        <v>0</v>
      </c>
      <c r="I10" s="18"/>
    </row>
    <row r="11" spans="1:10" hidden="1" x14ac:dyDescent="0.25">
      <c r="D11" s="9">
        <v>150000</v>
      </c>
      <c r="E11" s="10">
        <v>0.45</v>
      </c>
      <c r="F11" s="14">
        <f>MAX(0,IF($E$9&gt;D12,B3,$E$9-D13))</f>
        <v>22492.160000000003</v>
      </c>
      <c r="G11" s="24">
        <f>+E13*F11</f>
        <v>4498.4320000000007</v>
      </c>
    </row>
    <row r="12" spans="1:10" hidden="1" x14ac:dyDescent="0.25">
      <c r="D12" s="9">
        <f>MAX(0,IF(E7&gt;100000,D13+B3,B4))</f>
        <v>50000</v>
      </c>
      <c r="E12" s="10">
        <v>0.4</v>
      </c>
      <c r="F12" s="16"/>
      <c r="G12" s="37">
        <f>SUM(G9:G11)</f>
        <v>4498.4320000000007</v>
      </c>
      <c r="H12" s="26" t="s">
        <v>10</v>
      </c>
      <c r="J12" s="18"/>
    </row>
    <row r="13" spans="1:10" hidden="1" x14ac:dyDescent="0.25">
      <c r="D13" s="9">
        <f>MAX(0,IF(E7&gt;100000,'Notes Rest'!B7,B2))</f>
        <v>12500</v>
      </c>
      <c r="E13" s="10">
        <v>0.2</v>
      </c>
      <c r="F13" s="16"/>
      <c r="G13" s="15"/>
      <c r="H13" s="17"/>
    </row>
    <row r="14" spans="1:10" hidden="1" x14ac:dyDescent="0.25">
      <c r="D14" s="11"/>
      <c r="E14" s="12"/>
    </row>
    <row r="15" spans="1:10" hidden="1" x14ac:dyDescent="0.25">
      <c r="D15" s="11" t="s">
        <v>13</v>
      </c>
      <c r="E15" s="12">
        <f>+E4+E6</f>
        <v>20492.160000000003</v>
      </c>
      <c r="F15" s="6">
        <f>IF($E$15&gt;D17,$E$15-D17,0)</f>
        <v>0</v>
      </c>
      <c r="G15" s="6">
        <f>+F15*E17</f>
        <v>0</v>
      </c>
    </row>
    <row r="16" spans="1:10" hidden="1" x14ac:dyDescent="0.25">
      <c r="D16" s="11" t="s">
        <v>12</v>
      </c>
      <c r="E16" s="5"/>
      <c r="F16" s="6">
        <f>MAX(0,IF($E$15&gt;D17,(B9-B8),$E$15-D18))</f>
        <v>11860.160000000003</v>
      </c>
      <c r="G16" s="27">
        <f>+F16*E18</f>
        <v>1423.2192000000005</v>
      </c>
      <c r="I16" s="18"/>
    </row>
    <row r="17" spans="4:10" hidden="1" x14ac:dyDescent="0.25">
      <c r="D17" s="9">
        <f>+B9</f>
        <v>50000</v>
      </c>
      <c r="E17" s="10">
        <v>0.02</v>
      </c>
      <c r="G17" s="28">
        <f>SUM(G15:G16)</f>
        <v>1423.2192000000005</v>
      </c>
      <c r="H17" s="29" t="s">
        <v>15</v>
      </c>
      <c r="J17" s="2"/>
    </row>
    <row r="18" spans="4:10" hidden="1" x14ac:dyDescent="0.25">
      <c r="D18" s="9">
        <f>+B8</f>
        <v>8632</v>
      </c>
      <c r="E18" s="10">
        <v>0.12</v>
      </c>
      <c r="J18" s="2"/>
    </row>
    <row r="19" spans="4:10" x14ac:dyDescent="0.25">
      <c r="D19" s="4"/>
      <c r="E19" s="5"/>
      <c r="J19" s="2"/>
    </row>
    <row r="20" spans="4:10" x14ac:dyDescent="0.25">
      <c r="D20" s="4" t="s">
        <v>10</v>
      </c>
      <c r="E20" s="23">
        <f>+G12</f>
        <v>4498.4320000000007</v>
      </c>
      <c r="J20" s="2"/>
    </row>
    <row r="21" spans="4:10" x14ac:dyDescent="0.25">
      <c r="D21" s="4" t="s">
        <v>14</v>
      </c>
      <c r="E21" s="23">
        <f>+G17</f>
        <v>1423.2192000000005</v>
      </c>
    </row>
    <row r="22" spans="4:10" x14ac:dyDescent="0.25">
      <c r="D22" s="4" t="s">
        <v>16</v>
      </c>
      <c r="E22" s="23">
        <f>SUM(E20:E21)</f>
        <v>5921.6512000000012</v>
      </c>
      <c r="H22" t="s">
        <v>31</v>
      </c>
    </row>
    <row r="23" spans="4:10" x14ac:dyDescent="0.25">
      <c r="D23" s="4"/>
      <c r="E23" s="23"/>
      <c r="H23" s="34" t="s">
        <v>32</v>
      </c>
    </row>
    <row r="24" spans="4:10" x14ac:dyDescent="0.25">
      <c r="D24" s="4" t="s">
        <v>7</v>
      </c>
      <c r="E24" s="23">
        <f>E7-E22</f>
        <v>29070.508800000003</v>
      </c>
    </row>
    <row r="25" spans="4:10" x14ac:dyDescent="0.25">
      <c r="D25" s="4" t="s">
        <v>8</v>
      </c>
      <c r="E25" s="30">
        <f>E24/12</f>
        <v>2422.5424000000003</v>
      </c>
    </row>
  </sheetData>
  <hyperlinks>
    <hyperlink ref="H23" r:id="rId1"/>
  </hyperlinks>
  <pageMargins left="0.7" right="0.7" top="0.75" bottom="0.75" header="0.3" footer="0.3"/>
  <pageSetup orientation="portrait" horizontalDpi="4294967293" verticalDpi="4294967293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B3" sqref="B3"/>
    </sheetView>
  </sheetViews>
  <sheetFormatPr defaultRowHeight="15" x14ac:dyDescent="0.25"/>
  <cols>
    <col min="1" max="1" width="48.7109375" bestFit="1" customWidth="1"/>
    <col min="2" max="2" width="11.42578125" customWidth="1"/>
  </cols>
  <sheetData>
    <row r="1" spans="1:4" x14ac:dyDescent="0.25">
      <c r="A1" s="20" t="s">
        <v>17</v>
      </c>
    </row>
    <row r="2" spans="1:4" x14ac:dyDescent="0.25">
      <c r="A2" t="s">
        <v>18</v>
      </c>
      <c r="B2" s="21">
        <f>'Restaurant 18-19'!E4</f>
        <v>20492.160000000003</v>
      </c>
      <c r="C2" t="s">
        <v>21</v>
      </c>
    </row>
    <row r="3" spans="1:4" x14ac:dyDescent="0.25">
      <c r="A3" t="s">
        <v>19</v>
      </c>
      <c r="B3" s="21">
        <v>100000</v>
      </c>
      <c r="C3" t="s">
        <v>22</v>
      </c>
    </row>
    <row r="4" spans="1:4" x14ac:dyDescent="0.25">
      <c r="A4" t="s">
        <v>20</v>
      </c>
      <c r="B4" s="21">
        <f>B2-B3</f>
        <v>-79507.839999999997</v>
      </c>
      <c r="C4" t="s">
        <v>26</v>
      </c>
      <c r="D4" t="s">
        <v>23</v>
      </c>
    </row>
    <row r="5" spans="1:4" x14ac:dyDescent="0.25">
      <c r="A5" t="s">
        <v>5</v>
      </c>
      <c r="B5" s="21">
        <f>'General 19-20'!B2</f>
        <v>12500</v>
      </c>
      <c r="C5" t="s">
        <v>24</v>
      </c>
    </row>
    <row r="6" spans="1:4" x14ac:dyDescent="0.25">
      <c r="B6" s="21">
        <f>B4*0.5</f>
        <v>-39753.919999999998</v>
      </c>
      <c r="C6" t="s">
        <v>25</v>
      </c>
    </row>
    <row r="7" spans="1:4" x14ac:dyDescent="0.25">
      <c r="A7" t="s">
        <v>27</v>
      </c>
      <c r="B7" s="22">
        <f>+B5-B6</f>
        <v>52253.919999999998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General 17-18</vt:lpstr>
      <vt:lpstr>Restaurant 17-18</vt:lpstr>
      <vt:lpstr>General 18-19</vt:lpstr>
      <vt:lpstr>General 19-20</vt:lpstr>
      <vt:lpstr>Notes General</vt:lpstr>
      <vt:lpstr>Restaurant 18-19</vt:lpstr>
      <vt:lpstr>Notes Rest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User</cp:lastModifiedBy>
  <cp:lastPrinted>2018-03-19T15:49:23Z</cp:lastPrinted>
  <dcterms:created xsi:type="dcterms:W3CDTF">2017-10-17T10:51:15Z</dcterms:created>
  <dcterms:modified xsi:type="dcterms:W3CDTF">2019-04-21T19:08:40Z</dcterms:modified>
</cp:coreProperties>
</file>